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6" documentId="8_{194E443A-16A0-48CF-A09B-1D074AEF4CD6}" xr6:coauthVersionLast="47" xr6:coauthVersionMax="47" xr10:uidLastSave="{9A0514DE-C758-45B1-AB4E-67A0FE7D0960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8" i="6"/>
  <c r="G56" i="6"/>
  <c r="H56" i="6" s="1"/>
  <c r="G57" i="6"/>
  <c r="G58" i="6"/>
  <c r="G59" i="6"/>
  <c r="G60" i="6"/>
  <c r="G61" i="6"/>
  <c r="G62" i="6"/>
  <c r="G63" i="6"/>
  <c r="G64" i="6"/>
  <c r="H64" i="6" s="1"/>
  <c r="G65" i="6"/>
  <c r="F56" i="6"/>
  <c r="F57" i="6"/>
  <c r="H57" i="6" s="1"/>
  <c r="F58" i="6"/>
  <c r="F59" i="6"/>
  <c r="H59" i="6" s="1"/>
  <c r="F60" i="6"/>
  <c r="H60" i="6" s="1"/>
  <c r="F61" i="6"/>
  <c r="H61" i="6" s="1"/>
  <c r="F62" i="6"/>
  <c r="H62" i="6" s="1"/>
  <c r="F63" i="6"/>
  <c r="H63" i="6" s="1"/>
  <c r="F64" i="6"/>
  <c r="F65" i="6"/>
  <c r="H65" i="6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G53" i="6"/>
  <c r="H53" i="6" s="1"/>
  <c r="G52" i="6"/>
  <c r="H52" i="6"/>
  <c r="E40" i="6" s="1"/>
  <c r="G51" i="6"/>
  <c r="H51" i="6"/>
  <c r="E10" i="6" s="1"/>
  <c r="G50" i="6"/>
  <c r="H50" i="6"/>
  <c r="E11" i="6" s="1"/>
  <c r="C14" i="4" s="1"/>
  <c r="G49" i="6"/>
  <c r="H49" i="6"/>
  <c r="E55" i="6" s="1"/>
  <c r="G48" i="6"/>
  <c r="H48" i="6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G36" i="6"/>
  <c r="H36" i="6" s="1"/>
  <c r="G35" i="6"/>
  <c r="H35" i="6" s="1"/>
  <c r="G34" i="6"/>
  <c r="H34" i="6"/>
  <c r="G33" i="6"/>
  <c r="H33" i="6"/>
  <c r="G32" i="6"/>
  <c r="H32" i="6"/>
  <c r="G31" i="6"/>
  <c r="H31" i="6"/>
  <c r="G30" i="6"/>
  <c r="H30" i="6"/>
  <c r="G29" i="6"/>
  <c r="H29" i="6"/>
  <c r="G28" i="6"/>
  <c r="G27" i="6"/>
  <c r="G26" i="6"/>
  <c r="G25" i="6"/>
  <c r="G24" i="6"/>
  <c r="G23" i="6"/>
  <c r="G22" i="6"/>
  <c r="G21" i="6"/>
  <c r="H21" i="6" s="1"/>
  <c r="E24" i="6" s="1"/>
  <c r="G20" i="6"/>
  <c r="H20" i="6" s="1"/>
  <c r="G19" i="6"/>
  <c r="H19" i="6" s="1"/>
  <c r="E12" i="6" s="1"/>
  <c r="C15" i="4" s="1"/>
  <c r="G18" i="6"/>
  <c r="H18" i="6" s="1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G1" i="6"/>
  <c r="F1" i="6"/>
  <c r="A1" i="4"/>
  <c r="E52" i="6" l="1"/>
  <c r="C9" i="4"/>
  <c r="G9" i="4" s="1"/>
  <c r="E31" i="6"/>
  <c r="C35" i="4" s="1"/>
  <c r="G35" i="4" s="1"/>
  <c r="E28" i="6"/>
  <c r="E18" i="6"/>
  <c r="C19" i="4" s="1"/>
  <c r="G19" i="4" s="1"/>
  <c r="C38" i="4"/>
  <c r="G38" i="4" s="1"/>
  <c r="E21" i="6"/>
  <c r="E41" i="6"/>
  <c r="E15" i="6"/>
  <c r="C18" i="4" s="1"/>
  <c r="G18" i="4" s="1"/>
  <c r="E43" i="6"/>
  <c r="E37" i="6"/>
  <c r="C4" i="4"/>
  <c r="E30" i="6"/>
  <c r="C33" i="4" s="1"/>
  <c r="G33" i="4" s="1"/>
  <c r="C7" i="4"/>
  <c r="G7" i="4" s="1"/>
  <c r="E4" i="6"/>
  <c r="E14" i="6"/>
  <c r="E35" i="6"/>
  <c r="C45" i="4"/>
  <c r="G45" i="4" s="1"/>
  <c r="E27" i="6"/>
  <c r="E50" i="6"/>
  <c r="C37" i="4"/>
  <c r="G37" i="4" s="1"/>
  <c r="E45" i="6"/>
  <c r="E19" i="6"/>
  <c r="E54" i="6"/>
  <c r="E49" i="6"/>
  <c r="C46" i="4" s="1"/>
  <c r="G46" i="4" s="1"/>
  <c r="E23" i="6"/>
  <c r="G4" i="4"/>
  <c r="G14" i="4"/>
  <c r="E48" i="4"/>
  <c r="G15" i="4"/>
  <c r="H1" i="6"/>
  <c r="H9" i="6"/>
  <c r="H12" i="6"/>
  <c r="H14" i="6"/>
  <c r="H22" i="6"/>
  <c r="H24" i="6"/>
  <c r="E13" i="6" s="1"/>
  <c r="C16" i="4" s="1"/>
  <c r="G16" i="4" s="1"/>
  <c r="H26" i="6"/>
  <c r="H28" i="6"/>
  <c r="H39" i="6"/>
  <c r="E25" i="6" s="1"/>
  <c r="C32" i="4" s="1"/>
  <c r="G32" i="4" s="1"/>
  <c r="H41" i="6"/>
  <c r="H43" i="6"/>
  <c r="E51" i="6" s="1"/>
  <c r="C43" i="4" s="1"/>
  <c r="G43" i="4" s="1"/>
  <c r="H45" i="6"/>
  <c r="E39" i="6" s="1"/>
  <c r="C41" i="4" s="1"/>
  <c r="G41" i="4" s="1"/>
  <c r="H10" i="6"/>
  <c r="H13" i="6"/>
  <c r="H15" i="6"/>
  <c r="C23" i="4" s="1"/>
  <c r="G23" i="4" s="1"/>
  <c r="H23" i="6"/>
  <c r="H25" i="6"/>
  <c r="H27" i="6"/>
  <c r="H38" i="6"/>
  <c r="E53" i="6" s="1"/>
  <c r="C10" i="4" s="1"/>
  <c r="G10" i="4" s="1"/>
  <c r="H40" i="6"/>
  <c r="E3" i="6" s="1"/>
  <c r="C6" i="4" s="1"/>
  <c r="G6" i="4" s="1"/>
  <c r="H42" i="6"/>
  <c r="E5" i="6" s="1"/>
  <c r="C39" i="4" s="1"/>
  <c r="G39" i="4" s="1"/>
  <c r="H44" i="6"/>
  <c r="E6" i="6" s="1"/>
  <c r="C26" i="4" s="1"/>
  <c r="G26" i="4" s="1"/>
  <c r="B57" i="5"/>
  <c r="C40" i="4"/>
  <c r="C8" i="4"/>
  <c r="C22" i="4" l="1"/>
  <c r="G22" i="4" s="1"/>
  <c r="C29" i="4"/>
  <c r="G29" i="4" s="1"/>
  <c r="C31" i="4"/>
  <c r="G31" i="4" s="1"/>
  <c r="C44" i="4"/>
  <c r="G44" i="4" s="1"/>
  <c r="E34" i="6"/>
  <c r="E42" i="6"/>
  <c r="C12" i="4" s="1"/>
  <c r="G12" i="4" s="1"/>
  <c r="C11" i="4"/>
  <c r="G11" i="4" s="1"/>
  <c r="E9" i="6"/>
  <c r="C27" i="4" s="1"/>
  <c r="G27" i="4" s="1"/>
  <c r="C13" i="4"/>
  <c r="G13" i="4" s="1"/>
  <c r="C17" i="4"/>
  <c r="G17" i="4" s="1"/>
  <c r="E1" i="6"/>
  <c r="C3" i="4" s="1"/>
  <c r="G3" i="4" s="1"/>
  <c r="C25" i="4"/>
  <c r="G25" i="4" s="1"/>
  <c r="E22" i="6"/>
  <c r="C24" i="4" s="1"/>
  <c r="G24" i="4" s="1"/>
  <c r="C47" i="4"/>
  <c r="G47" i="4" s="1"/>
  <c r="E29" i="6"/>
  <c r="C34" i="4" s="1"/>
  <c r="G34" i="4" s="1"/>
  <c r="C30" i="4"/>
  <c r="G30" i="4" s="1"/>
  <c r="E44" i="6"/>
  <c r="C42" i="4" s="1"/>
  <c r="G42" i="4" s="1"/>
  <c r="E8" i="6"/>
  <c r="C5" i="4" s="1"/>
  <c r="G5" i="4" s="1"/>
  <c r="C20" i="4"/>
  <c r="G20" i="4" s="1"/>
  <c r="E32" i="6"/>
  <c r="C36" i="4" s="1"/>
  <c r="G36" i="4" s="1"/>
  <c r="C28" i="4"/>
  <c r="G28" i="4" s="1"/>
  <c r="E20" i="6"/>
  <c r="C21" i="4" s="1"/>
  <c r="G21" i="4" s="1"/>
  <c r="G8" i="4"/>
  <c r="C48" i="4" l="1"/>
  <c r="G48" i="4" s="1"/>
</calcChain>
</file>

<file path=xl/sharedStrings.xml><?xml version="1.0" encoding="utf-8"?>
<sst xmlns="http://schemas.openxmlformats.org/spreadsheetml/2006/main" count="255" uniqueCount="110">
  <si>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</si>
  <si>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</si>
  <si>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</si>
  <si>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</si>
  <si>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</si>
  <si>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</si>
  <si>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</si>
  <si>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</si>
  <si>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</si>
  <si>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</si>
  <si>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</si>
  <si>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</si>
  <si>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</si>
  <si>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</si>
  <si>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</si>
  <si>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</si>
  <si>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</si>
  <si>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</si>
  <si>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</si>
  <si>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</si>
  <si>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</si>
  <si>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</si>
  <si>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</si>
  <si>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</si>
  <si>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</si>
  <si>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</si>
  <si>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</si>
  <si>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</si>
  <si>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</si>
  <si>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</si>
  <si>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</si>
  <si>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</si>
  <si>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</si>
  <si>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</si>
  <si>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</si>
  <si>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</si>
  <si>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</si>
  <si>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</si>
  <si>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</si>
  <si>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</si>
  <si>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</si>
  <si>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</si>
  <si>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</si>
  <si>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</si>
  <si>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</si>
  <si>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</si>
  <si>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</si>
  <si>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</si>
  <si>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</si>
  <si>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</si>
  <si>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</si>
  <si>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</si>
  <si>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</si>
  <si>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</si>
  <si>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</si>
  <si>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 xml:space="preserve">WAU - Internet       </t>
  </si>
  <si>
    <t>KAU - Internet Access</t>
  </si>
  <si>
    <t>IVL - Internet Access</t>
  </si>
  <si>
    <t>MRT - Internet Access</t>
  </si>
  <si>
    <t>KEW - Internet Access</t>
  </si>
  <si>
    <t>LIT - Internet Access</t>
  </si>
  <si>
    <t>KIM - Internet Access</t>
  </si>
  <si>
    <t xml:space="preserve">OCF - Internet       </t>
  </si>
  <si>
    <t>SEY - Internet Access</t>
  </si>
  <si>
    <t xml:space="preserve">ONE - Internet       </t>
  </si>
  <si>
    <t>ALG - Internet Access</t>
  </si>
  <si>
    <t>CPL - Internet Access</t>
  </si>
  <si>
    <t xml:space="preserve">WAU - Study          </t>
  </si>
  <si>
    <t>LAK - Internet Access</t>
  </si>
  <si>
    <t xml:space="preserve">OCO - Internet       </t>
  </si>
  <si>
    <t xml:space="preserve">ON2 - Internet       </t>
  </si>
  <si>
    <t>FPL - Internet Access</t>
  </si>
  <si>
    <t>SIS - Internet Access</t>
  </si>
  <si>
    <t>MAN - Internet Access</t>
  </si>
  <si>
    <t xml:space="preserve">TIG - Internet       </t>
  </si>
  <si>
    <t>LEN - Internet Access</t>
  </si>
  <si>
    <t xml:space="preserve">GIL - Internet       </t>
  </si>
  <si>
    <t xml:space="preserve">PES - Child          </t>
  </si>
  <si>
    <t>CRI - Internet Access</t>
  </si>
  <si>
    <t xml:space="preserve">WAU - Teen           </t>
  </si>
  <si>
    <t xml:space="preserve">ALG - Child          </t>
  </si>
  <si>
    <t>WEY - Internet Access</t>
  </si>
  <si>
    <t>Egg - Internet Access</t>
  </si>
  <si>
    <t>SUR - Internet Access</t>
  </si>
  <si>
    <t>HPL - Internet Access</t>
  </si>
  <si>
    <t>WAS - Internet Access</t>
  </si>
  <si>
    <t>NIA - Internet Access</t>
  </si>
  <si>
    <t>BCL - Internet Access</t>
  </si>
  <si>
    <t xml:space="preserve">KAU - Teen           </t>
  </si>
  <si>
    <t xml:space="preserve">STR - Laurie Room    </t>
  </si>
  <si>
    <t>FOR - Internet Access</t>
  </si>
  <si>
    <t>MAR - Internet Access</t>
  </si>
  <si>
    <t>BAI - Internet Access</t>
  </si>
  <si>
    <t xml:space="preserve">WAU - Child          </t>
  </si>
  <si>
    <t xml:space="preserve">BON - Internet       </t>
  </si>
  <si>
    <t xml:space="preserve">WIT - Internet       </t>
  </si>
  <si>
    <t>COL - Internet Access</t>
  </si>
  <si>
    <t xml:space="preserve">SHA - Child          </t>
  </si>
  <si>
    <t>WSH - Internet Access</t>
  </si>
  <si>
    <t xml:space="preserve">KAU - Child          </t>
  </si>
  <si>
    <t xml:space="preserve">Egg - MakerSP        </t>
  </si>
  <si>
    <t>EPH - Internet Access</t>
  </si>
  <si>
    <t xml:space="preserve">FLO - Internet       </t>
  </si>
  <si>
    <t>FIS - Internet Access</t>
  </si>
  <si>
    <t xml:space="preserve">SHI  - Internet      </t>
  </si>
  <si>
    <t>SCA - Internet Access</t>
  </si>
  <si>
    <t xml:space="preserve">Egg - History        </t>
  </si>
  <si>
    <t xml:space="preserve">_default     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</si>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</sst>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98"/>
  <sheetViews>
    <sheetView tabSelected="1" showWhiteSpace="0" view="pageLayout" topLeftCell="A21" zoomScale="84" zoomScaleNormal="100" zoomScalePageLayoutView="84" workbookViewId="0">
      <selection activeCell="G37" sqref="G37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January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9290.2166666666672</v>
      </c>
      <c r="D3" s="21"/>
      <c r="E3" s="21">
        <f>VLOOKUP(A3,Sessions!$A$1:$D$56,2,FALSE)</f>
        <v>176</v>
      </c>
      <c r="F3" s="21"/>
      <c r="G3" s="22">
        <f>C3/E3</f>
        <v>52.785321969696973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1422.9666666666667</v>
      </c>
      <c r="D4" s="26"/>
      <c r="E4" s="25">
        <f>VLOOKUP(A4,Sessions!$A$1:$D$56,2,FALSE)</f>
        <v>51</v>
      </c>
      <c r="F4" s="26"/>
      <c r="G4" s="26">
        <f t="shared" ref="G4:G47" si="0">C4/E4</f>
        <v>27.901307189542486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6803.4333333333334</v>
      </c>
      <c r="D5" s="21"/>
      <c r="E5" s="21">
        <f>VLOOKUP(A5,Sessions!$A$1:$D$56,2,FALSE)</f>
        <v>173</v>
      </c>
      <c r="F5" s="21"/>
      <c r="G5" s="22">
        <f t="shared" si="0"/>
        <v>39.326204238921001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710.4666666666667</v>
      </c>
      <c r="D6" s="26"/>
      <c r="E6" s="25">
        <f>VLOOKUP(A6,Sessions!$A$1:$D$56,2,FALSE)</f>
        <v>21</v>
      </c>
      <c r="F6" s="26"/>
      <c r="G6" s="26">
        <f t="shared" si="0"/>
        <v>33.831746031746036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2812.5166666666664</v>
      </c>
      <c r="D7" s="22"/>
      <c r="E7" s="21">
        <f>VLOOKUP(A7,Sessions!$A$1:$D$56,2,FALSE)</f>
        <v>68</v>
      </c>
      <c r="F7" s="22"/>
      <c r="G7" s="22">
        <f>C7/E7</f>
        <v>41.360539215686273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260.06666666666666</v>
      </c>
      <c r="D8" s="26"/>
      <c r="E8" s="25">
        <f>VLOOKUP(A8,Sessions!$A$1:$D$56,2,FALSE)</f>
        <v>5</v>
      </c>
      <c r="F8" s="26"/>
      <c r="G8" s="26">
        <f t="shared" si="0"/>
        <v>52.013333333333335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111.44999999999999</v>
      </c>
      <c r="D9" s="21"/>
      <c r="E9" s="21">
        <f>VLOOKUP(A9,Sessions!$A$1:$D$56,2,FALSE)</f>
        <v>8</v>
      </c>
      <c r="F9" s="21"/>
      <c r="G9" s="22">
        <f t="shared" si="0"/>
        <v>13.931249999999999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665.7</v>
      </c>
      <c r="D10" s="25"/>
      <c r="E10" s="25">
        <f>VLOOKUP(A10,Sessions!$A$1:$D$56,2,FALSE)</f>
        <v>15</v>
      </c>
      <c r="F10" s="25"/>
      <c r="G10" s="26">
        <f t="shared" si="0"/>
        <v>44.38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2106.2833333333333</v>
      </c>
      <c r="D11" s="22"/>
      <c r="E11" s="21">
        <f>VLOOKUP(A11,Sessions!$A$1:$D$56,2,FALSE)</f>
        <v>76</v>
      </c>
      <c r="F11" s="22"/>
      <c r="G11" s="22">
        <f t="shared" si="0"/>
        <v>27.71425438596491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23010.933333333334</v>
      </c>
      <c r="D12" s="25"/>
      <c r="E12" s="25">
        <f>VLOOKUP(A12,Sessions!$A$1:$D$56,2,FALSE)</f>
        <v>478</v>
      </c>
      <c r="F12" s="25"/>
      <c r="G12" s="26">
        <f t="shared" si="0"/>
        <v>48.140027894002792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517.16666666666663</v>
      </c>
      <c r="D13" s="21"/>
      <c r="E13" s="21">
        <f>VLOOKUP(A13,Sessions!$A$1:$D$56,2,FALSE)</f>
        <v>10</v>
      </c>
      <c r="F13" s="21"/>
      <c r="G13" s="22">
        <f t="shared" si="0"/>
        <v>51.716666666666661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194.38333333333335</v>
      </c>
      <c r="D14" s="26"/>
      <c r="E14" s="25">
        <f>VLOOKUP(A14,Sessions!$A$1:$D$56,2,FALSE)</f>
        <v>9</v>
      </c>
      <c r="F14" s="26"/>
      <c r="G14" s="26">
        <f t="shared" ca="1" si="0"/>
        <v>21.598148148148152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3910.7666666666664</v>
      </c>
      <c r="D15" s="21"/>
      <c r="E15" s="21">
        <f>VLOOKUP(A15,Sessions!$A$1:$D$56,2,FALSE)</f>
        <v>61</v>
      </c>
      <c r="F15" s="21"/>
      <c r="G15" s="22">
        <f t="shared" si="0"/>
        <v>64.110928961748627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2934.4333333333334</v>
      </c>
      <c r="D16" s="26"/>
      <c r="E16" s="25">
        <f>VLOOKUP(A16,Sessions!$A$1:$D$56,2,FALSE)</f>
        <v>80</v>
      </c>
      <c r="F16" s="26"/>
      <c r="G16" s="26">
        <f t="shared" si="0"/>
        <v>36.680416666666666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1575.5333333333333</v>
      </c>
      <c r="D17" s="21"/>
      <c r="E17" s="21">
        <f>VLOOKUP(A17,Sessions!$A$1:$D$56,2,FALSE)</f>
        <v>54</v>
      </c>
      <c r="F17" s="21"/>
      <c r="G17" s="22">
        <f t="shared" si="0"/>
        <v>29.176543209876542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12211.666666666666</v>
      </c>
      <c r="D18" s="26"/>
      <c r="E18" s="25">
        <f>VLOOKUP(A18,Sessions!$A$1:$D$56,2,FALSE)</f>
        <v>154</v>
      </c>
      <c r="F18" s="26"/>
      <c r="G18" s="26">
        <f t="shared" si="0"/>
        <v>79.296536796536799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15757.883333333333</v>
      </c>
      <c r="D19" s="21"/>
      <c r="E19" s="21">
        <f>VLOOKUP(A19,Sessions!$A$1:$D$56,2,FALSE)</f>
        <v>362</v>
      </c>
      <c r="F19" s="21"/>
      <c r="G19" s="22">
        <f t="shared" si="0"/>
        <v>43.530064456721917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10986.233333333334</v>
      </c>
      <c r="D20" s="26"/>
      <c r="E20" s="25">
        <f>VLOOKUP(A20,Sessions!$A$1:$D$56,2,FALSE)</f>
        <v>179</v>
      </c>
      <c r="F20" s="26"/>
      <c r="G20" s="26">
        <f t="shared" si="0"/>
        <v>61.375605214152699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10451.65</v>
      </c>
      <c r="D21" s="21"/>
      <c r="E21" s="21">
        <f>VLOOKUP(A21,Sessions!$A$1:$D$56,2,FALSE)</f>
        <v>264</v>
      </c>
      <c r="F21" s="21"/>
      <c r="G21" s="22">
        <f t="shared" si="0"/>
        <v>39.58958333333333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10901.933333333332</v>
      </c>
      <c r="D22" s="26"/>
      <c r="E22" s="25">
        <f>VLOOKUP(A22,Sessions!$A$1:$D$56,2,FALSE)</f>
        <v>232</v>
      </c>
      <c r="F22" s="26"/>
      <c r="G22" s="26">
        <f t="shared" si="0"/>
        <v>46.991091954022984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5523.1833333333334</v>
      </c>
      <c r="D23" s="21"/>
      <c r="E23" s="21">
        <f>VLOOKUP(A23,Sessions!$A$1:$D$56,2,FALSE)</f>
        <v>130</v>
      </c>
      <c r="F23" s="21"/>
      <c r="G23" s="22">
        <f t="shared" si="0"/>
        <v>42.486025641025641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2411.4833333333331</v>
      </c>
      <c r="D24" s="26"/>
      <c r="E24" s="25">
        <f>VLOOKUP(A24,Sessions!$A$1:$D$56,2,FALSE)</f>
        <v>45</v>
      </c>
      <c r="F24" s="26"/>
      <c r="G24" s="26">
        <f t="shared" si="0"/>
        <v>53.588518518518512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3733.2666666666664</v>
      </c>
      <c r="D25" s="21"/>
      <c r="E25" s="21">
        <f>VLOOKUP(A25,Sessions!$A$1:$D$56,2,FALSE)</f>
        <v>75</v>
      </c>
      <c r="F25" s="21"/>
      <c r="G25" s="22">
        <f t="shared" si="0"/>
        <v>49.776888888888884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670.0333333333333</v>
      </c>
      <c r="D26" s="26"/>
      <c r="E26" s="25">
        <f>VLOOKUP(A26,Sessions!$A$1:$D$56,2,FALSE)</f>
        <v>21</v>
      </c>
      <c r="F26" s="26"/>
      <c r="G26" s="26">
        <f t="shared" si="0"/>
        <v>31.906349206349205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2487.3666666666668</v>
      </c>
      <c r="D27" s="21"/>
      <c r="E27" s="21">
        <f>VLOOKUP(A27,Sessions!$A$1:$D$56,2,FALSE)</f>
        <v>78</v>
      </c>
      <c r="F27" s="21"/>
      <c r="G27" s="22">
        <f t="shared" si="0"/>
        <v>31.889316239316241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11099.75</v>
      </c>
      <c r="D28" s="26"/>
      <c r="E28" s="25">
        <f>VLOOKUP(A28,Sessions!$A$1:$D$56,2,FALSE)</f>
        <v>232</v>
      </c>
      <c r="F28" s="26"/>
      <c r="G28" s="26">
        <f t="shared" si="0"/>
        <v>47.84375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1433.4166666666667</v>
      </c>
      <c r="D29" s="21"/>
      <c r="E29" s="21">
        <f>VLOOKUP(A29,Sessions!$A$1:$D$56,2,FALSE)</f>
        <v>24</v>
      </c>
      <c r="F29" s="21"/>
      <c r="G29" s="22">
        <f t="shared" si="0"/>
        <v>59.72569444444445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2500.6499999999996</v>
      </c>
      <c r="D30" s="26"/>
      <c r="E30" s="25">
        <f>VLOOKUP(A30,Sessions!$A$1:$D$56,2,FALSE)</f>
        <v>39</v>
      </c>
      <c r="F30" s="26"/>
      <c r="G30" s="26">
        <f t="shared" si="0"/>
        <v>64.119230769230754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1467.55</v>
      </c>
      <c r="D31" s="21"/>
      <c r="E31" s="21">
        <f>VLOOKUP(A31,Sessions!$A$1:$D$56,2,FALSE)</f>
        <v>48</v>
      </c>
      <c r="F31" s="21"/>
      <c r="G31" s="22">
        <f t="shared" si="0"/>
        <v>30.573958333333334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941.78333333333342</v>
      </c>
      <c r="D32" s="26"/>
      <c r="E32" s="25">
        <f>VLOOKUP(A32,Sessions!$A$1:$D$56,2,FALSE)</f>
        <v>33</v>
      </c>
      <c r="F32" s="26"/>
      <c r="G32" s="26">
        <f t="shared" si="0"/>
        <v>28.538888888888891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4649.3166666666666</v>
      </c>
      <c r="D33" s="21"/>
      <c r="E33" s="21">
        <f>VLOOKUP(A33,Sessions!$A$1:$D$56,2,FALSE)</f>
        <v>105</v>
      </c>
      <c r="F33" s="21"/>
      <c r="G33" s="22">
        <f t="shared" si="0"/>
        <v>44.279206349206348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9931.2333333333336</v>
      </c>
      <c r="D34" s="26"/>
      <c r="E34" s="25">
        <f>VLOOKUP(A34,Sessions!$A$1:$D$56,2,FALSE)</f>
        <v>195</v>
      </c>
      <c r="F34" s="26"/>
      <c r="G34" s="26">
        <f t="shared" si="0"/>
        <v>50.929401709401709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4380</v>
      </c>
      <c r="D35" s="21"/>
      <c r="E35" s="21">
        <f>VLOOKUP(A35,Sessions!$A$1:$D$56,2,FALSE)</f>
        <v>92</v>
      </c>
      <c r="F35" s="21"/>
      <c r="G35" s="22">
        <f t="shared" si="0"/>
        <v>47.608695652173914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2346.1999999999998</v>
      </c>
      <c r="D36" s="26"/>
      <c r="E36" s="25">
        <f>VLOOKUP(A36,Sessions!$A$1:$D$56,2,FALSE)</f>
        <v>102</v>
      </c>
      <c r="F36" s="26"/>
      <c r="G36" s="26">
        <f t="shared" si="0"/>
        <v>23.001960784313724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27.566666666666666</v>
      </c>
      <c r="D37" s="21"/>
      <c r="E37" s="21">
        <f>VLOOKUP(A37,Sessions!$A$1:$D$56,2,FALSE)</f>
        <v>1</v>
      </c>
      <c r="F37" s="21"/>
      <c r="G37" s="22">
        <f t="shared" si="0"/>
        <v>27.566666666666666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7724.25</v>
      </c>
      <c r="D38" s="26"/>
      <c r="E38" s="25">
        <f>VLOOKUP(A38,Sessions!$A$1:$D$56,2,FALSE)</f>
        <v>113</v>
      </c>
      <c r="F38" s="26"/>
      <c r="G38" s="26">
        <f t="shared" si="0"/>
        <v>68.356194690265482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790.48333333333335</v>
      </c>
      <c r="D39" s="21"/>
      <c r="E39" s="21">
        <f>VLOOKUP(A39,Sessions!$A$1:$D$56,2,FALSE)</f>
        <v>23</v>
      </c>
      <c r="F39" s="21"/>
      <c r="G39" s="22">
        <f t="shared" si="0"/>
        <v>34.368840579710145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17973.850000000002</v>
      </c>
      <c r="D41" s="21"/>
      <c r="E41" s="21">
        <f>VLOOKUP(A41,Sessions!$A$1:$D$56,2,FALSE)</f>
        <v>392</v>
      </c>
      <c r="F41" s="21"/>
      <c r="G41" s="22">
        <f t="shared" si="0"/>
        <v>45.851658163265313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3422.1</v>
      </c>
      <c r="D42" s="26"/>
      <c r="E42" s="25">
        <f>VLOOKUP(A42,Sessions!$A$1:$D$56,2,FALSE)</f>
        <v>50</v>
      </c>
      <c r="F42" s="26"/>
      <c r="G42" s="26">
        <f t="shared" si="0"/>
        <v>68.441999999999993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730.76666666666665</v>
      </c>
      <c r="D43" s="21"/>
      <c r="E43" s="21">
        <f>VLOOKUP(A43,Sessions!$A$1:$D$56,2,FALSE)</f>
        <v>11</v>
      </c>
      <c r="F43" s="21"/>
      <c r="G43" s="22">
        <f t="shared" si="0"/>
        <v>66.433333333333337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113.43333333333334</v>
      </c>
      <c r="D44" s="26"/>
      <c r="E44" s="25">
        <f>VLOOKUP(A44,Sessions!$A$1:$D$56,2,FALSE)</f>
        <v>4</v>
      </c>
      <c r="F44" s="26"/>
      <c r="G44" s="26">
        <f t="shared" si="0"/>
        <v>28.358333333333334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1844.7666666666667</v>
      </c>
      <c r="D45" s="21"/>
      <c r="E45" s="21">
        <f>VLOOKUP(A45,Sessions!$A$1:$D$56,2,FALSE)</f>
        <v>54</v>
      </c>
      <c r="F45" s="21"/>
      <c r="G45" s="22">
        <f t="shared" si="0"/>
        <v>34.162345679012347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23967.583333333336</v>
      </c>
      <c r="D46" s="26"/>
      <c r="E46" s="25">
        <f>VLOOKUP(A46,Sessions!$A$1:$D$56,2,FALSE)</f>
        <v>488</v>
      </c>
      <c r="F46" s="26"/>
      <c r="G46" s="26">
        <f t="shared" si="0"/>
        <v>49.113900273224047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2252.1833333333334</v>
      </c>
      <c r="D47" s="21"/>
      <c r="E47" s="21">
        <f>VLOOKUP(A47,Sessions!$A$1:$D$56,2,FALSE)</f>
        <v>61</v>
      </c>
      <c r="F47" s="21"/>
      <c r="G47" s="22">
        <f t="shared" si="0"/>
        <v>36.92103825136612</v>
      </c>
    </row>
    <row r="48" spans="1:18" s="27" customFormat="1" ht="19.5" customHeight="1">
      <c r="A48" s="30" t="s">
        <v>49</v>
      </c>
      <c r="B48" s="30"/>
      <c r="C48" s="31">
        <f ca="1">SUM(C3:C47)</f>
        <v>229057.9</v>
      </c>
      <c r="D48" s="32"/>
      <c r="E48" s="32">
        <f>SUM(E3:E47)</f>
        <v>4892</v>
      </c>
      <c r="F48" s="32"/>
      <c r="G48" s="32">
        <f ca="1">C48/E48</f>
        <v>46.82295584627964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4.54296875" bestFit="1" customWidth="1"/>
    <col min="4" max="4" width="15.8164062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176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21</v>
      </c>
      <c r="C2">
        <v>462</v>
      </c>
      <c r="D2" t="s">
        <v>53</v>
      </c>
      <c r="E2" s="9"/>
    </row>
    <row r="3" spans="1:5" ht="15.6">
      <c r="A3" t="s">
        <v>5</v>
      </c>
      <c r="B3" s="34">
        <f>SUMIF(D$1:D$70, "BCL*",C$1:C$70)</f>
        <v>51</v>
      </c>
      <c r="C3">
        <v>374</v>
      </c>
      <c r="D3" t="s">
        <v>54</v>
      </c>
      <c r="E3" s="9"/>
    </row>
    <row r="4" spans="1:5" ht="15.6">
      <c r="A4" t="s">
        <v>40</v>
      </c>
      <c r="B4" s="34">
        <f>SUMIF(D$1:D$70, "BON*",C$1:C$70)</f>
        <v>23</v>
      </c>
      <c r="C4">
        <v>366</v>
      </c>
      <c r="D4" t="s">
        <v>55</v>
      </c>
      <c r="E4" s="9"/>
    </row>
    <row r="5" spans="1:5" ht="15.6">
      <c r="A5" t="s">
        <v>27</v>
      </c>
      <c r="B5" s="34">
        <f>SUMIF(D$1:D$70, "COL*",C$1:C$70)</f>
        <v>21</v>
      </c>
      <c r="C5">
        <v>317</v>
      </c>
      <c r="D5" t="s">
        <v>56</v>
      </c>
      <c r="E5" s="9"/>
    </row>
    <row r="6" spans="1:5" ht="15.6">
      <c r="A6" t="s">
        <v>6</v>
      </c>
      <c r="B6" s="34">
        <f>SUMIF(D$1:D$70, "CPL*",C$1:C$70)</f>
        <v>173</v>
      </c>
      <c r="C6">
        <v>154</v>
      </c>
      <c r="D6" t="s">
        <v>57</v>
      </c>
      <c r="E6" s="9"/>
    </row>
    <row r="7" spans="1:5" ht="15.6">
      <c r="B7" s="34"/>
      <c r="C7">
        <v>232</v>
      </c>
      <c r="D7" t="s">
        <v>58</v>
      </c>
      <c r="E7" s="9"/>
    </row>
    <row r="8" spans="1:5" ht="15.6">
      <c r="A8" t="s">
        <v>28</v>
      </c>
      <c r="B8" s="34">
        <f>SUMIF(D$1:D$70, "CRI*",C$1:C$70)</f>
        <v>78</v>
      </c>
      <c r="C8">
        <v>179</v>
      </c>
      <c r="D8" t="s">
        <v>59</v>
      </c>
      <c r="E8" s="9"/>
    </row>
    <row r="9" spans="1:5" ht="15.6">
      <c r="A9" t="s">
        <v>8</v>
      </c>
      <c r="B9" s="34">
        <f>SUMIF(D$1:D$70, "EGG*",C$1:C$70)</f>
        <v>68</v>
      </c>
      <c r="C9">
        <v>232</v>
      </c>
      <c r="D9" t="s">
        <v>60</v>
      </c>
      <c r="E9" s="9"/>
    </row>
    <row r="10" spans="1:5" ht="15.6">
      <c r="B10" s="34"/>
      <c r="C10">
        <v>264</v>
      </c>
      <c r="D10" t="s">
        <v>61</v>
      </c>
      <c r="E10" s="9"/>
    </row>
    <row r="11" spans="1:5" ht="15.6">
      <c r="B11" s="34"/>
      <c r="C11">
        <v>195</v>
      </c>
      <c r="D11" t="s">
        <v>62</v>
      </c>
      <c r="E11" s="9"/>
    </row>
    <row r="12" spans="1:5" ht="15.6">
      <c r="B12" s="34"/>
      <c r="C12">
        <v>113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5</v>
      </c>
      <c r="C13">
        <v>102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8</v>
      </c>
      <c r="C14">
        <v>114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9</v>
      </c>
      <c r="C15">
        <v>173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15</v>
      </c>
      <c r="C16">
        <v>49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61</v>
      </c>
      <c r="C17">
        <v>130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80</v>
      </c>
      <c r="C18">
        <v>105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54</v>
      </c>
      <c r="C19">
        <v>92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154</v>
      </c>
      <c r="C20">
        <v>61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362</v>
      </c>
      <c r="C21">
        <v>76</v>
      </c>
      <c r="D21" t="s">
        <v>72</v>
      </c>
      <c r="E21" s="10"/>
    </row>
    <row r="22" spans="1:5" ht="15.6">
      <c r="B22" s="34"/>
      <c r="C22">
        <v>75</v>
      </c>
      <c r="D22" t="s">
        <v>73</v>
      </c>
      <c r="E22" s="9"/>
    </row>
    <row r="23" spans="1:5" ht="15.6">
      <c r="B23" s="34"/>
      <c r="C23">
        <v>50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179</v>
      </c>
      <c r="C24">
        <v>45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264</v>
      </c>
      <c r="C25">
        <v>80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130</v>
      </c>
      <c r="C26">
        <v>39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45</v>
      </c>
      <c r="C27">
        <v>78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232</v>
      </c>
      <c r="C28">
        <v>44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75</v>
      </c>
      <c r="C29">
        <v>62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33</v>
      </c>
      <c r="C30">
        <v>61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60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232</v>
      </c>
      <c r="C32">
        <v>54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24</v>
      </c>
      <c r="C33">
        <v>54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195</v>
      </c>
      <c r="C34">
        <v>48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105</v>
      </c>
      <c r="C35">
        <v>24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92</v>
      </c>
      <c r="C36">
        <v>51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102</v>
      </c>
      <c r="C37">
        <v>31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39</v>
      </c>
      <c r="C38">
        <v>16</v>
      </c>
      <c r="D38" t="s">
        <v>89</v>
      </c>
    </row>
    <row r="39" spans="1:5" ht="15.6">
      <c r="B39" s="34"/>
      <c r="C39">
        <v>15</v>
      </c>
      <c r="D39" t="s">
        <v>90</v>
      </c>
    </row>
    <row r="40" spans="1:5" ht="15.6">
      <c r="A40" t="s">
        <v>38</v>
      </c>
      <c r="B40" s="34">
        <f>SUMIF(D$1:D$70, "SCA*",C$1:C$70)</f>
        <v>1</v>
      </c>
      <c r="C40">
        <v>33</v>
      </c>
      <c r="D40" t="s">
        <v>91</v>
      </c>
    </row>
    <row r="41" spans="1:5" ht="15.6">
      <c r="A41" t="s">
        <v>39</v>
      </c>
      <c r="B41" s="34">
        <f>SUMIF(D$1:D$70, "SEY*",C$1:C$70)</f>
        <v>113</v>
      </c>
      <c r="C41">
        <v>21</v>
      </c>
      <c r="D41" t="s">
        <v>92</v>
      </c>
    </row>
    <row r="42" spans="1:5" ht="15.6">
      <c r="A42" t="s">
        <v>42</v>
      </c>
      <c r="B42" s="34">
        <f>SUMIF(D$1:D$70, "SHA*",C$1:C$70)</f>
        <v>392</v>
      </c>
      <c r="C42">
        <v>29</v>
      </c>
      <c r="D42" t="s">
        <v>93</v>
      </c>
    </row>
    <row r="43" spans="1:5" ht="15.6">
      <c r="B43" s="34"/>
      <c r="C43">
        <v>23</v>
      </c>
      <c r="D43" t="s">
        <v>94</v>
      </c>
    </row>
    <row r="44" spans="1:5" ht="15.6">
      <c r="A44" t="s">
        <v>45</v>
      </c>
      <c r="B44" s="34">
        <f>SUMIF(D$1:D$70, "SHI*",C$1:C$70)</f>
        <v>4</v>
      </c>
      <c r="C44">
        <v>11</v>
      </c>
      <c r="D44" t="s">
        <v>95</v>
      </c>
    </row>
    <row r="45" spans="1:5" ht="15.6">
      <c r="A45" t="s">
        <v>12</v>
      </c>
      <c r="B45" s="34">
        <f>SUMIF(D$1:D$70, "SIS*",C$1:C$70)</f>
        <v>76</v>
      </c>
      <c r="C45">
        <v>21</v>
      </c>
      <c r="D45" t="s">
        <v>96</v>
      </c>
    </row>
    <row r="46" spans="1:5" ht="15.6">
      <c r="A46" t="s">
        <v>13</v>
      </c>
      <c r="B46" s="34">
        <f>SUMIF(D$1:D$70, "STR*",C$1:C$70)</f>
        <v>478</v>
      </c>
      <c r="C46">
        <v>18</v>
      </c>
      <c r="D46" t="s">
        <v>97</v>
      </c>
    </row>
    <row r="47" spans="1:5" ht="15.6">
      <c r="B47" s="34"/>
      <c r="C47">
        <v>10</v>
      </c>
      <c r="D47" t="s">
        <v>98</v>
      </c>
    </row>
    <row r="48" spans="1:5" ht="15.6">
      <c r="A48" t="s">
        <v>46</v>
      </c>
      <c r="B48" s="34">
        <f>SUMIF(D$1:D$70, "SUR*",C$1:C$70)</f>
        <v>54</v>
      </c>
      <c r="C48">
        <v>14</v>
      </c>
      <c r="D48" t="s">
        <v>99</v>
      </c>
    </row>
    <row r="49" spans="1:4" ht="15.6">
      <c r="A49" t="s">
        <v>43</v>
      </c>
      <c r="B49" s="34">
        <f>SUMIF(D$1:D$70, "TIG*",C$1:C$70)</f>
        <v>50</v>
      </c>
      <c r="C49">
        <v>6</v>
      </c>
      <c r="D49" t="s">
        <v>100</v>
      </c>
    </row>
    <row r="50" spans="1:4" ht="15.6">
      <c r="A50" t="s">
        <v>32</v>
      </c>
      <c r="B50" s="34">
        <f>SUMIF(D$1:D$70, "WAS*",C$1:C$70)</f>
        <v>48</v>
      </c>
      <c r="C50">
        <v>5</v>
      </c>
      <c r="D50" t="s">
        <v>101</v>
      </c>
    </row>
    <row r="51" spans="1:4" ht="15.6">
      <c r="A51" t="s">
        <v>47</v>
      </c>
      <c r="B51" s="34">
        <f>SUMIF(D$1:D$70, "WAU*",C$1:C$70)</f>
        <v>488</v>
      </c>
      <c r="C51">
        <v>9</v>
      </c>
      <c r="D51" t="s">
        <v>102</v>
      </c>
    </row>
    <row r="52" spans="1:4" ht="15.6">
      <c r="B52" s="34"/>
      <c r="C52">
        <v>8</v>
      </c>
      <c r="D52" t="s">
        <v>103</v>
      </c>
    </row>
    <row r="53" spans="1:4" ht="15.6">
      <c r="B53" s="34"/>
      <c r="C53">
        <v>4</v>
      </c>
      <c r="D53" t="s">
        <v>104</v>
      </c>
    </row>
    <row r="54" spans="1:4" ht="15.6">
      <c r="A54" t="s">
        <v>48</v>
      </c>
      <c r="B54" s="34">
        <f>SUMIF(D$1:D$70, "WEY*",C$1:C$70)</f>
        <v>61</v>
      </c>
      <c r="C54">
        <v>1</v>
      </c>
      <c r="D54" t="s">
        <v>105</v>
      </c>
    </row>
    <row r="55" spans="1:4" ht="15.6">
      <c r="A55" t="s">
        <v>44</v>
      </c>
      <c r="B55" s="34">
        <f>SUMIF(D$1:D$70, "WIT*",C$1:C$70)</f>
        <v>11</v>
      </c>
      <c r="C55">
        <v>2</v>
      </c>
      <c r="D55" t="s">
        <v>106</v>
      </c>
    </row>
    <row r="56" spans="1:4" ht="15.6">
      <c r="A56" t="s">
        <v>14</v>
      </c>
      <c r="B56" s="34">
        <f>SUMIF(D$1:D$70, "WSH*",C$1:C$70)</f>
        <v>10</v>
      </c>
      <c r="C56">
        <v>2</v>
      </c>
      <c r="D56" t="s">
        <v>107</v>
      </c>
    </row>
    <row r="57" spans="1:4" ht="15.6">
      <c r="A57" s="3" t="s">
        <v>50</v>
      </c>
      <c r="B57">
        <f>SUM(B1:B56)</f>
        <v>4892</v>
      </c>
      <c r="C57" t="s">
        <v>108</v>
      </c>
      <c r="D57" t="s">
        <v>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15</v>
      </c>
      <c r="D1" s="11">
        <v>0.28056712962962965</v>
      </c>
      <c r="E1" s="4">
        <f>SUMIF(B$1:B$70,"ALG*",H$1:H$70)</f>
        <v>9290.2166666666672</v>
      </c>
      <c r="F1" s="2">
        <f>C1*1440</f>
        <v>21600</v>
      </c>
      <c r="G1" s="2">
        <f>D1*1440</f>
        <v>404.01666666666671</v>
      </c>
      <c r="H1" s="2">
        <f>SUM(F1+G1)</f>
        <v>22004.016666666666</v>
      </c>
    </row>
    <row r="2" spans="1:9" ht="15.6">
      <c r="A2" s="3"/>
      <c r="B2" t="s">
        <v>54</v>
      </c>
      <c r="C2">
        <v>12</v>
      </c>
      <c r="D2" s="11">
        <v>9.1122685185185182E-2</v>
      </c>
      <c r="E2" s="4"/>
      <c r="F2" s="2">
        <f t="shared" ref="F2:F65" si="0">C2*1440</f>
        <v>17280</v>
      </c>
      <c r="G2" s="2">
        <f t="shared" ref="G2:G65" si="1">D2*1440</f>
        <v>131.21666666666667</v>
      </c>
      <c r="H2" s="2">
        <f t="shared" ref="H2:H65" si="2">SUM(F2+G2)</f>
        <v>17411.216666666667</v>
      </c>
    </row>
    <row r="3" spans="1:9" ht="15.6">
      <c r="A3" s="3" t="s">
        <v>7</v>
      </c>
      <c r="B3" t="s">
        <v>55</v>
      </c>
      <c r="C3">
        <v>10</v>
      </c>
      <c r="D3" s="11">
        <v>0.37710648148148151</v>
      </c>
      <c r="E3" s="4">
        <f>SUMIF(B$1:B$70,"BAI*",H$1:H$70)</f>
        <v>710.4666666666667</v>
      </c>
      <c r="F3" s="2">
        <f t="shared" si="0"/>
        <v>14400</v>
      </c>
      <c r="G3" s="2">
        <f t="shared" si="1"/>
        <v>543.03333333333342</v>
      </c>
      <c r="H3" s="2">
        <f t="shared" si="2"/>
        <v>14943.033333333333</v>
      </c>
      <c r="I3" s="8"/>
    </row>
    <row r="4" spans="1:9" ht="15.6">
      <c r="A4" s="3" t="s">
        <v>5</v>
      </c>
      <c r="B4" t="s">
        <v>56</v>
      </c>
      <c r="C4">
        <v>9</v>
      </c>
      <c r="D4" s="11">
        <v>0.83416666666666661</v>
      </c>
      <c r="E4" s="4">
        <f>SUMIF(B$1:B$70,"BCL*",H$1:H$70)</f>
        <v>1422.9666666666667</v>
      </c>
      <c r="F4" s="2">
        <f t="shared" si="0"/>
        <v>12960</v>
      </c>
      <c r="G4" s="2">
        <f t="shared" si="1"/>
        <v>1201.1999999999998</v>
      </c>
      <c r="H4" s="2">
        <f t="shared" si="2"/>
        <v>14161.2</v>
      </c>
    </row>
    <row r="5" spans="1:9" ht="15.6">
      <c r="A5" s="3" t="s">
        <v>40</v>
      </c>
      <c r="B5" t="s">
        <v>57</v>
      </c>
      <c r="C5">
        <v>8</v>
      </c>
      <c r="D5" s="12">
        <v>0.48032407407407413</v>
      </c>
      <c r="E5" s="4">
        <f>SUMIF(B$1:B$70,"BON*",H$1:H$70)</f>
        <v>790.48333333333335</v>
      </c>
      <c r="F5" s="2">
        <f t="shared" si="0"/>
        <v>11520</v>
      </c>
      <c r="G5" s="2">
        <f t="shared" si="1"/>
        <v>691.66666666666674</v>
      </c>
      <c r="H5" s="2">
        <f t="shared" si="2"/>
        <v>12211.666666666666</v>
      </c>
    </row>
    <row r="6" spans="1:9" ht="15.6">
      <c r="A6" s="3" t="s">
        <v>27</v>
      </c>
      <c r="B6" t="s">
        <v>58</v>
      </c>
      <c r="C6">
        <v>7</v>
      </c>
      <c r="D6" s="11">
        <v>0.70815972222222223</v>
      </c>
      <c r="E6" s="4">
        <f>SUMIF(B$1:B$70,"COL*",H$1:H$70)</f>
        <v>670.0333333333333</v>
      </c>
      <c r="F6" s="2">
        <f t="shared" si="0"/>
        <v>10080</v>
      </c>
      <c r="G6" s="2">
        <f t="shared" si="1"/>
        <v>1019.75</v>
      </c>
      <c r="H6" s="2">
        <f t="shared" si="2"/>
        <v>11099.75</v>
      </c>
    </row>
    <row r="7" spans="1:9" ht="15.6">
      <c r="A7" s="3"/>
      <c r="B7" t="s">
        <v>59</v>
      </c>
      <c r="C7">
        <v>7</v>
      </c>
      <c r="D7" s="11">
        <v>0.62932870370370375</v>
      </c>
      <c r="E7" s="4"/>
      <c r="F7" s="2">
        <f t="shared" si="0"/>
        <v>10080</v>
      </c>
      <c r="G7" s="2">
        <f t="shared" si="1"/>
        <v>906.23333333333335</v>
      </c>
      <c r="H7" s="2">
        <f t="shared" si="2"/>
        <v>10986.233333333334</v>
      </c>
    </row>
    <row r="8" spans="1:9" ht="15.6">
      <c r="A8" s="3" t="s">
        <v>6</v>
      </c>
      <c r="B8" t="s">
        <v>60</v>
      </c>
      <c r="C8">
        <v>7</v>
      </c>
      <c r="D8" s="11">
        <v>0.57078703703703704</v>
      </c>
      <c r="E8" s="4">
        <f>SUMIF(B$1:B$70,"CPL*",H$1:H70)</f>
        <v>6803.4333333333334</v>
      </c>
      <c r="F8" s="2">
        <f t="shared" si="0"/>
        <v>10080</v>
      </c>
      <c r="G8" s="2">
        <f t="shared" si="1"/>
        <v>821.93333333333328</v>
      </c>
      <c r="H8" s="2">
        <f t="shared" si="2"/>
        <v>10901.933333333332</v>
      </c>
    </row>
    <row r="9" spans="1:9" ht="15.6">
      <c r="A9" s="3" t="s">
        <v>28</v>
      </c>
      <c r="B9" t="s">
        <v>61</v>
      </c>
      <c r="C9">
        <v>7</v>
      </c>
      <c r="D9" s="11">
        <v>0.25809027777777777</v>
      </c>
      <c r="E9" s="4">
        <f>SUMIF(B$1:B$70,"CRI*",H$1:H$70)</f>
        <v>2487.3666666666668</v>
      </c>
      <c r="F9" s="2">
        <f t="shared" si="0"/>
        <v>10080</v>
      </c>
      <c r="G9" s="2">
        <f t="shared" si="1"/>
        <v>371.65</v>
      </c>
      <c r="H9" s="2">
        <f t="shared" si="2"/>
        <v>10451.65</v>
      </c>
    </row>
    <row r="10" spans="1:9" ht="15.6">
      <c r="A10" s="3" t="s">
        <v>10</v>
      </c>
      <c r="B10" t="s">
        <v>62</v>
      </c>
      <c r="C10">
        <v>6</v>
      </c>
      <c r="D10" s="11">
        <v>0.89668981481481491</v>
      </c>
      <c r="E10" s="4">
        <f>SUMIF(B$1:B$70,"FIS*",H$1:H$70)</f>
        <v>111.44999999999999</v>
      </c>
      <c r="F10" s="2">
        <f t="shared" si="0"/>
        <v>8640</v>
      </c>
      <c r="G10" s="2">
        <f t="shared" si="1"/>
        <v>1291.2333333333336</v>
      </c>
      <c r="H10" s="2">
        <f t="shared" si="2"/>
        <v>9931.2333333333336</v>
      </c>
    </row>
    <row r="11" spans="1:9" ht="15.6">
      <c r="A11" s="3" t="s">
        <v>15</v>
      </c>
      <c r="B11" t="s">
        <v>63</v>
      </c>
      <c r="C11">
        <v>5</v>
      </c>
      <c r="D11" s="11">
        <v>0.36406250000000001</v>
      </c>
      <c r="E11" s="4">
        <f ca="1">SUMIF(B$1:B$570,"FLO*",H$1:H$70)</f>
        <v>194.38333333333335</v>
      </c>
      <c r="F11" s="2">
        <f t="shared" si="0"/>
        <v>7200</v>
      </c>
      <c r="G11" s="2">
        <f t="shared" si="1"/>
        <v>524.25</v>
      </c>
      <c r="H11" s="2">
        <f t="shared" si="2"/>
        <v>7724.25</v>
      </c>
    </row>
    <row r="12" spans="1:9" ht="15.6">
      <c r="A12" s="3" t="s">
        <v>16</v>
      </c>
      <c r="B12" t="s">
        <v>64</v>
      </c>
      <c r="C12">
        <v>1</v>
      </c>
      <c r="D12" s="11">
        <v>0.62930555555555556</v>
      </c>
      <c r="E12" s="4">
        <f>SUMIF(B$1:B$70,"FPL*",H$1:H$70)</f>
        <v>3910.7666666666664</v>
      </c>
      <c r="F12" s="2">
        <f t="shared" si="0"/>
        <v>1440</v>
      </c>
      <c r="G12" s="2">
        <f t="shared" si="1"/>
        <v>906.2</v>
      </c>
      <c r="H12" s="2">
        <f t="shared" si="2"/>
        <v>2346.1999999999998</v>
      </c>
    </row>
    <row r="13" spans="1:9" ht="15.6">
      <c r="A13" s="3" t="s">
        <v>17</v>
      </c>
      <c r="B13" t="s">
        <v>65</v>
      </c>
      <c r="C13">
        <v>4</v>
      </c>
      <c r="D13" s="11">
        <v>0.88119212962962967</v>
      </c>
      <c r="E13" s="4">
        <f>SUMIF(B$1:B$70,"GIL*",H$1:H$70)</f>
        <v>2934.4333333333334</v>
      </c>
      <c r="F13" s="2">
        <f t="shared" si="0"/>
        <v>5760</v>
      </c>
      <c r="G13" s="2">
        <f t="shared" si="1"/>
        <v>1268.9166666666667</v>
      </c>
      <c r="H13" s="2">
        <f t="shared" si="2"/>
        <v>7028.916666666667</v>
      </c>
    </row>
    <row r="14" spans="1:9" ht="15.6">
      <c r="A14" s="3" t="s">
        <v>18</v>
      </c>
      <c r="B14" t="s">
        <v>66</v>
      </c>
      <c r="C14">
        <v>4</v>
      </c>
      <c r="D14" s="12">
        <v>0.72460648148148143</v>
      </c>
      <c r="E14" s="4">
        <f>SUMIF(B$1:B$70,"HPL*",H$1:H$70)</f>
        <v>1575.5333333333333</v>
      </c>
      <c r="F14" s="2">
        <f t="shared" si="0"/>
        <v>5760</v>
      </c>
      <c r="G14" s="2">
        <f t="shared" si="1"/>
        <v>1043.4333333333332</v>
      </c>
      <c r="H14" s="2">
        <f t="shared" si="2"/>
        <v>6803.4333333333334</v>
      </c>
    </row>
    <row r="15" spans="1:9" ht="15.6">
      <c r="A15" s="3" t="s">
        <v>19</v>
      </c>
      <c r="B15" t="s">
        <v>67</v>
      </c>
      <c r="C15">
        <v>3</v>
      </c>
      <c r="D15" s="11">
        <v>0.9596527777777778</v>
      </c>
      <c r="E15" s="4">
        <f>SUMIF(B$1:B$70,"IVL*",H$1:H$70)</f>
        <v>12211.666666666666</v>
      </c>
      <c r="F15" s="2">
        <f t="shared" si="0"/>
        <v>4320</v>
      </c>
      <c r="G15" s="2">
        <f t="shared" si="1"/>
        <v>1381.9</v>
      </c>
      <c r="H15" s="2">
        <f t="shared" si="2"/>
        <v>5701.9</v>
      </c>
    </row>
    <row r="16" spans="1:9" ht="15.6">
      <c r="A16" s="3"/>
      <c r="B16" t="s">
        <v>68</v>
      </c>
      <c r="C16">
        <v>3</v>
      </c>
      <c r="D16" s="11">
        <v>0.83554398148148146</v>
      </c>
      <c r="E16" s="4"/>
      <c r="F16" s="2">
        <f t="shared" si="0"/>
        <v>4320</v>
      </c>
      <c r="G16" s="2">
        <f t="shared" si="1"/>
        <v>1203.1833333333334</v>
      </c>
      <c r="H16" s="2">
        <f t="shared" si="2"/>
        <v>5523.1833333333334</v>
      </c>
    </row>
    <row r="17" spans="1:9">
      <c r="B17" t="s">
        <v>69</v>
      </c>
      <c r="C17">
        <v>3</v>
      </c>
      <c r="D17" s="11">
        <v>0.22869212962962962</v>
      </c>
      <c r="F17" s="2">
        <f t="shared" si="0"/>
        <v>4320</v>
      </c>
      <c r="G17" s="2">
        <f t="shared" si="1"/>
        <v>329.31666666666666</v>
      </c>
      <c r="H17" s="2">
        <f t="shared" si="2"/>
        <v>4649.3166666666666</v>
      </c>
    </row>
    <row r="18" spans="1:9" ht="15.6">
      <c r="A18" s="3" t="s">
        <v>20</v>
      </c>
      <c r="B18" t="s">
        <v>70</v>
      </c>
      <c r="C18">
        <v>3</v>
      </c>
      <c r="D18" s="11">
        <v>4.1666666666666664E-2</v>
      </c>
      <c r="E18" s="4">
        <f>SUMIF(B$1:B$70,"KAU*",H$1:H$70)</f>
        <v>15757.883333333333</v>
      </c>
      <c r="F18" s="2">
        <f t="shared" si="0"/>
        <v>4320</v>
      </c>
      <c r="G18" s="2">
        <f t="shared" si="1"/>
        <v>60</v>
      </c>
      <c r="H18" s="2">
        <f t="shared" si="2"/>
        <v>4380</v>
      </c>
    </row>
    <row r="19" spans="1:9" ht="15.6">
      <c r="A19" s="3" t="s">
        <v>21</v>
      </c>
      <c r="B19" t="s">
        <v>71</v>
      </c>
      <c r="C19">
        <v>2</v>
      </c>
      <c r="D19" s="11">
        <v>0.71581018518518524</v>
      </c>
      <c r="E19" s="4">
        <f>SUMIF(B$1:B$70,"KEW*",H$1:H$70)</f>
        <v>10986.233333333334</v>
      </c>
      <c r="F19" s="2">
        <f t="shared" si="0"/>
        <v>2880</v>
      </c>
      <c r="G19" s="2">
        <f t="shared" si="1"/>
        <v>1030.7666666666667</v>
      </c>
      <c r="H19" s="2">
        <f t="shared" si="2"/>
        <v>3910.7666666666664</v>
      </c>
    </row>
    <row r="20" spans="1:9" ht="15.6">
      <c r="A20" s="3" t="s">
        <v>22</v>
      </c>
      <c r="B20" t="s">
        <v>72</v>
      </c>
      <c r="C20">
        <v>1</v>
      </c>
      <c r="D20" s="11">
        <v>0.46269675925925924</v>
      </c>
      <c r="E20" s="4">
        <f>SUMIF(B$1:B$70,"KIM*",H$1:H$70)</f>
        <v>10451.65</v>
      </c>
      <c r="F20" s="2">
        <f t="shared" si="0"/>
        <v>1440</v>
      </c>
      <c r="G20" s="2">
        <f t="shared" si="1"/>
        <v>666.2833333333333</v>
      </c>
      <c r="H20" s="2">
        <f t="shared" si="2"/>
        <v>2106.2833333333333</v>
      </c>
    </row>
    <row r="21" spans="1:9" ht="15.6">
      <c r="A21" s="3" t="s">
        <v>24</v>
      </c>
      <c r="B21" t="s">
        <v>73</v>
      </c>
      <c r="C21">
        <v>2</v>
      </c>
      <c r="D21" s="11">
        <v>0.59254629629629629</v>
      </c>
      <c r="E21" s="4">
        <f>SUMIF(B$1:B$70,"LAK*",H$1:H$70)</f>
        <v>5523.1833333333334</v>
      </c>
      <c r="F21" s="2">
        <f t="shared" si="0"/>
        <v>2880</v>
      </c>
      <c r="G21" s="2">
        <f t="shared" si="1"/>
        <v>853.26666666666665</v>
      </c>
      <c r="H21" s="2">
        <f t="shared" si="2"/>
        <v>3733.2666666666664</v>
      </c>
    </row>
    <row r="22" spans="1:9" ht="15.6">
      <c r="A22" s="3" t="s">
        <v>25</v>
      </c>
      <c r="B22" t="s">
        <v>74</v>
      </c>
      <c r="C22">
        <v>2</v>
      </c>
      <c r="D22" s="11">
        <v>0.37645833333333334</v>
      </c>
      <c r="E22" s="4">
        <f>SUMIF(B$1:B$70,"LEN*",H$1:H$70)</f>
        <v>2411.4833333333331</v>
      </c>
      <c r="F22" s="2">
        <f t="shared" si="0"/>
        <v>2880</v>
      </c>
      <c r="G22" s="2">
        <f t="shared" si="1"/>
        <v>542.1</v>
      </c>
      <c r="H22" s="2">
        <f t="shared" si="2"/>
        <v>3422.1</v>
      </c>
    </row>
    <row r="23" spans="1:9" ht="15.6">
      <c r="A23" s="3" t="s">
        <v>23</v>
      </c>
      <c r="B23" t="s">
        <v>75</v>
      </c>
      <c r="C23">
        <v>1</v>
      </c>
      <c r="D23" s="11">
        <v>0.67464120370370362</v>
      </c>
      <c r="E23" s="4">
        <f>SUMIF(B$1:B$70,"LIT*",H$1:H$70)</f>
        <v>10901.933333333332</v>
      </c>
      <c r="F23" s="2">
        <f t="shared" si="0"/>
        <v>1440</v>
      </c>
      <c r="G23" s="2">
        <f t="shared" si="1"/>
        <v>971.48333333333323</v>
      </c>
      <c r="H23" s="2">
        <f t="shared" si="2"/>
        <v>2411.4833333333331</v>
      </c>
    </row>
    <row r="24" spans="1:9" ht="15.6">
      <c r="A24" s="3" t="s">
        <v>26</v>
      </c>
      <c r="B24" t="s">
        <v>76</v>
      </c>
      <c r="C24">
        <v>2</v>
      </c>
      <c r="D24" s="11">
        <v>3.7800925925925925E-2</v>
      </c>
      <c r="E24" s="4">
        <f>SUMIF(B$1:B$70,"MAN*",H$1:H$70)</f>
        <v>3733.2666666666664</v>
      </c>
      <c r="F24" s="2">
        <f t="shared" si="0"/>
        <v>2880</v>
      </c>
      <c r="G24" s="2">
        <f t="shared" si="1"/>
        <v>54.43333333333333</v>
      </c>
      <c r="H24" s="2">
        <f t="shared" si="2"/>
        <v>2934.4333333333334</v>
      </c>
    </row>
    <row r="25" spans="1:9" ht="15.6">
      <c r="A25" s="3" t="s">
        <v>33</v>
      </c>
      <c r="B25" t="s">
        <v>77</v>
      </c>
      <c r="C25">
        <v>1</v>
      </c>
      <c r="D25" s="11">
        <v>0.7365624999999999</v>
      </c>
      <c r="E25" s="4">
        <f>SUMIF(B$1:B$70,"MAR*",H$1:H$70)</f>
        <v>941.78333333333342</v>
      </c>
      <c r="F25" s="2">
        <f t="shared" si="0"/>
        <v>1440</v>
      </c>
      <c r="G25" s="2">
        <f t="shared" si="1"/>
        <v>1060.6499999999999</v>
      </c>
      <c r="H25" s="2">
        <f t="shared" si="2"/>
        <v>2500.6499999999996</v>
      </c>
    </row>
    <row r="26" spans="1:9" ht="15.6">
      <c r="A26" s="3" t="s">
        <v>41</v>
      </c>
      <c r="B26" t="s">
        <v>78</v>
      </c>
      <c r="C26">
        <v>1</v>
      </c>
      <c r="D26" s="11">
        <v>0.72733796296296294</v>
      </c>
      <c r="E26" s="4">
        <f>SUMIF(B$1:B$70,"MAT*",H$1:H$70)</f>
        <v>0</v>
      </c>
      <c r="F26" s="2">
        <f t="shared" si="0"/>
        <v>1440</v>
      </c>
      <c r="G26" s="2">
        <f t="shared" si="1"/>
        <v>1047.3666666666666</v>
      </c>
      <c r="H26" s="2">
        <f t="shared" si="2"/>
        <v>2487.3666666666668</v>
      </c>
    </row>
    <row r="27" spans="1:9" ht="15.6">
      <c r="A27" s="3" t="s">
        <v>29</v>
      </c>
      <c r="B27" t="s">
        <v>79</v>
      </c>
      <c r="C27">
        <v>1</v>
      </c>
      <c r="D27" s="11">
        <v>0.69628472222222226</v>
      </c>
      <c r="E27" s="4">
        <f>SUMIF(B$1:B$70,"MRT*",H$1:H$70)</f>
        <v>11099.75</v>
      </c>
      <c r="F27" s="2">
        <f t="shared" si="0"/>
        <v>1440</v>
      </c>
      <c r="G27" s="2">
        <f t="shared" si="1"/>
        <v>1002.6500000000001</v>
      </c>
      <c r="H27" s="2">
        <f t="shared" si="2"/>
        <v>2442.65</v>
      </c>
    </row>
    <row r="28" spans="1:9" ht="15.6">
      <c r="A28" s="3" t="s">
        <v>30</v>
      </c>
      <c r="B28" t="s">
        <v>80</v>
      </c>
      <c r="C28">
        <v>1</v>
      </c>
      <c r="D28" s="11">
        <v>0.57034722222222223</v>
      </c>
      <c r="E28" s="4">
        <f>SUMIF(B$1:B$70,"NIA*",H$1:H$70)</f>
        <v>1433.4166666666667</v>
      </c>
      <c r="F28" s="2">
        <f t="shared" si="0"/>
        <v>1440</v>
      </c>
      <c r="G28" s="2">
        <f t="shared" si="1"/>
        <v>821.3</v>
      </c>
      <c r="H28" s="2">
        <f t="shared" si="2"/>
        <v>2261.3000000000002</v>
      </c>
    </row>
    <row r="29" spans="1:9" ht="15.6">
      <c r="A29" s="3" t="s">
        <v>35</v>
      </c>
      <c r="B29" t="s">
        <v>81</v>
      </c>
      <c r="C29">
        <v>1</v>
      </c>
      <c r="D29" s="11">
        <v>0.56401620370370364</v>
      </c>
      <c r="E29" s="4">
        <f>SUMIF(B$1:B$70,"OCF*",H$1:H$70)</f>
        <v>9931.2333333333336</v>
      </c>
      <c r="F29" s="2">
        <f t="shared" si="0"/>
        <v>1440</v>
      </c>
      <c r="G29" s="2">
        <f t="shared" si="1"/>
        <v>812.18333333333328</v>
      </c>
      <c r="H29" s="2">
        <f t="shared" si="2"/>
        <v>2252.1833333333334</v>
      </c>
    </row>
    <row r="30" spans="1:9" ht="15.6">
      <c r="A30" s="3" t="s">
        <v>34</v>
      </c>
      <c r="B30" t="s">
        <v>82</v>
      </c>
      <c r="C30">
        <v>1</v>
      </c>
      <c r="D30" s="11">
        <v>0.54778935185185185</v>
      </c>
      <c r="E30" s="4">
        <f>SUMIF(B$1:B$70,"OCO*",H$1:H$70)</f>
        <v>4649.3166666666666</v>
      </c>
      <c r="F30" s="2">
        <f t="shared" si="0"/>
        <v>1440</v>
      </c>
      <c r="G30" s="2">
        <f t="shared" si="1"/>
        <v>788.81666666666661</v>
      </c>
      <c r="H30" s="2">
        <f t="shared" si="2"/>
        <v>2228.8166666666666</v>
      </c>
    </row>
    <row r="31" spans="1:9" ht="15.6">
      <c r="A31" s="3" t="s">
        <v>36</v>
      </c>
      <c r="B31" t="s">
        <v>83</v>
      </c>
      <c r="C31">
        <v>1</v>
      </c>
      <c r="D31" s="11">
        <v>0.28108796296296296</v>
      </c>
      <c r="E31" s="4">
        <f>SUMIF(B$1:B$70,"ON2*",H$1:H$70)</f>
        <v>4380</v>
      </c>
      <c r="F31" s="2">
        <f t="shared" si="0"/>
        <v>1440</v>
      </c>
      <c r="G31" s="2">
        <f t="shared" si="1"/>
        <v>404.76666666666665</v>
      </c>
      <c r="H31" s="2">
        <f t="shared" si="2"/>
        <v>1844.7666666666667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9.4120370370370368E-2</v>
      </c>
      <c r="E32" s="4">
        <f>SUMIF(B$1:B$70,"ONE*",H$1:H$70)</f>
        <v>2346.1999999999998</v>
      </c>
      <c r="F32" s="2">
        <f t="shared" si="0"/>
        <v>1440</v>
      </c>
      <c r="G32" s="2">
        <f t="shared" si="1"/>
        <v>135.53333333333333</v>
      </c>
      <c r="H32" s="2">
        <f t="shared" si="2"/>
        <v>1575.5333333333333</v>
      </c>
    </row>
    <row r="33" spans="1:9">
      <c r="B33" t="s">
        <v>85</v>
      </c>
      <c r="C33">
        <v>1</v>
      </c>
      <c r="D33" s="11">
        <v>1.9131944444444444E-2</v>
      </c>
      <c r="F33" s="2">
        <f t="shared" si="0"/>
        <v>1440</v>
      </c>
      <c r="G33" s="2">
        <f t="shared" si="1"/>
        <v>27.55</v>
      </c>
      <c r="H33" s="2">
        <f t="shared" si="2"/>
        <v>1467.55</v>
      </c>
    </row>
    <row r="34" spans="1:9" ht="15.6">
      <c r="A34" s="3" t="s">
        <v>31</v>
      </c>
      <c r="B34" t="s">
        <v>86</v>
      </c>
      <c r="C34">
        <v>0</v>
      </c>
      <c r="D34" s="11">
        <v>0.99542824074074077</v>
      </c>
      <c r="E34" s="4">
        <f>SUMIF(B$1:B$70,"PES*",H$1:H$70)</f>
        <v>2500.6499999999996</v>
      </c>
      <c r="F34" s="2">
        <f t="shared" si="0"/>
        <v>0</v>
      </c>
      <c r="G34" s="2">
        <f t="shared" si="1"/>
        <v>1433.4166666666667</v>
      </c>
      <c r="H34" s="2">
        <f t="shared" si="2"/>
        <v>1433.4166666666667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0.9881712962962963</v>
      </c>
      <c r="E35" s="4">
        <f>SUMIF(B$1:B$70,"SCA*",H$1:H$70)</f>
        <v>27.566666666666666</v>
      </c>
      <c r="F35" s="2">
        <f t="shared" si="0"/>
        <v>0</v>
      </c>
      <c r="G35" s="2">
        <f t="shared" si="1"/>
        <v>1422.9666666666667</v>
      </c>
      <c r="H35" s="2">
        <f t="shared" si="2"/>
        <v>1422.9666666666667</v>
      </c>
    </row>
    <row r="36" spans="1:9">
      <c r="B36" t="s">
        <v>88</v>
      </c>
      <c r="C36">
        <v>0</v>
      </c>
      <c r="D36" s="12">
        <v>0.8806018518518518</v>
      </c>
      <c r="F36" s="2">
        <f t="shared" si="0"/>
        <v>0</v>
      </c>
      <c r="G36" s="2">
        <f t="shared" si="1"/>
        <v>1268.0666666666666</v>
      </c>
      <c r="H36" s="2">
        <f t="shared" si="2"/>
        <v>1268.0666666666666</v>
      </c>
    </row>
    <row r="37" spans="1:9" ht="15.6">
      <c r="A37" s="3" t="s">
        <v>39</v>
      </c>
      <c r="B37" t="s">
        <v>89</v>
      </c>
      <c r="C37">
        <v>0</v>
      </c>
      <c r="D37" s="11">
        <v>0.69924768518518521</v>
      </c>
      <c r="E37" s="4">
        <f>SUMIF(B$1:B$70,"SEY*",H$1:H$70)</f>
        <v>7724.25</v>
      </c>
      <c r="F37" s="2">
        <f t="shared" si="0"/>
        <v>0</v>
      </c>
      <c r="G37" s="2">
        <f t="shared" si="1"/>
        <v>1006.9166666666667</v>
      </c>
      <c r="H37" s="2">
        <f t="shared" si="2"/>
        <v>1006.9166666666667</v>
      </c>
      <c r="I37" s="8"/>
    </row>
    <row r="38" spans="1:9">
      <c r="B38" t="s">
        <v>90</v>
      </c>
      <c r="C38">
        <v>0</v>
      </c>
      <c r="D38" s="11">
        <v>0.46229166666666671</v>
      </c>
      <c r="F38" s="2">
        <f t="shared" si="0"/>
        <v>0</v>
      </c>
      <c r="G38" s="2">
        <f t="shared" si="1"/>
        <v>665.7</v>
      </c>
      <c r="H38" s="2">
        <f t="shared" si="2"/>
        <v>665.7</v>
      </c>
    </row>
    <row r="39" spans="1:9" ht="15.6">
      <c r="A39" s="3" t="s">
        <v>42</v>
      </c>
      <c r="B39" t="s">
        <v>91</v>
      </c>
      <c r="C39">
        <v>0</v>
      </c>
      <c r="D39" s="11">
        <v>0.65401620370370372</v>
      </c>
      <c r="E39" s="4">
        <f>SUMIF(B$1:B$70,"SHA*",H$1:H$70)</f>
        <v>17973.850000000002</v>
      </c>
      <c r="F39" s="2">
        <f t="shared" si="0"/>
        <v>0</v>
      </c>
      <c r="G39" s="2">
        <f t="shared" si="1"/>
        <v>941.78333333333342</v>
      </c>
      <c r="H39" s="2">
        <f t="shared" si="2"/>
        <v>941.78333333333342</v>
      </c>
    </row>
    <row r="40" spans="1:9" ht="15.6">
      <c r="A40" s="3" t="s">
        <v>45</v>
      </c>
      <c r="B40" t="s">
        <v>92</v>
      </c>
      <c r="C40">
        <v>0</v>
      </c>
      <c r="D40" s="11">
        <v>0.49337962962962961</v>
      </c>
      <c r="E40" s="4">
        <f>SUMIF(B$1:B$70,"SHI*",H$1:H$70)</f>
        <v>113.43333333333334</v>
      </c>
      <c r="F40" s="2">
        <f t="shared" si="0"/>
        <v>0</v>
      </c>
      <c r="G40" s="2">
        <f t="shared" si="1"/>
        <v>710.4666666666667</v>
      </c>
      <c r="H40" s="2">
        <f t="shared" si="2"/>
        <v>710.4666666666667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0.61111111111111105</v>
      </c>
      <c r="E41" s="4">
        <f>SUMIF(B$1:B$70,"SIS*",H$1:H$70)</f>
        <v>2106.2833333333333</v>
      </c>
      <c r="F41" s="2">
        <f t="shared" si="0"/>
        <v>0</v>
      </c>
      <c r="G41" s="2">
        <f t="shared" si="1"/>
        <v>879.99999999999989</v>
      </c>
      <c r="H41" s="2">
        <f t="shared" si="2"/>
        <v>879.99999999999989</v>
      </c>
    </row>
    <row r="42" spans="1:9" ht="15.6">
      <c r="A42" s="3" t="s">
        <v>13</v>
      </c>
      <c r="B42" t="s">
        <v>94</v>
      </c>
      <c r="C42">
        <v>0</v>
      </c>
      <c r="D42" s="11">
        <v>0.54894675925925929</v>
      </c>
      <c r="E42" s="4">
        <f>SUMIF(B$1:B$70,"STR*",H$1:H$70)</f>
        <v>23010.933333333334</v>
      </c>
      <c r="F42" s="2">
        <f t="shared" si="0"/>
        <v>0</v>
      </c>
      <c r="G42" s="2">
        <f t="shared" si="1"/>
        <v>790.48333333333335</v>
      </c>
      <c r="H42" s="2">
        <f t="shared" si="2"/>
        <v>790.48333333333335</v>
      </c>
    </row>
    <row r="43" spans="1:9" ht="15.6">
      <c r="A43" s="3" t="s">
        <v>46</v>
      </c>
      <c r="B43" t="s">
        <v>95</v>
      </c>
      <c r="C43">
        <v>0</v>
      </c>
      <c r="D43" s="11">
        <v>0.50747685185185187</v>
      </c>
      <c r="E43" s="4">
        <f>SUMIF(B$1:B$70,"SUR*",H$1:H$70)</f>
        <v>1844.7666666666667</v>
      </c>
      <c r="F43" s="2">
        <f t="shared" si="0"/>
        <v>0</v>
      </c>
      <c r="G43" s="2">
        <f t="shared" si="1"/>
        <v>730.76666666666665</v>
      </c>
      <c r="H43" s="2">
        <f t="shared" si="2"/>
        <v>730.76666666666665</v>
      </c>
    </row>
    <row r="44" spans="1:9" ht="15.6">
      <c r="A44" s="3" t="s">
        <v>43</v>
      </c>
      <c r="B44" t="s">
        <v>96</v>
      </c>
      <c r="C44">
        <v>0</v>
      </c>
      <c r="D44" s="11">
        <v>0.46530092592592592</v>
      </c>
      <c r="E44" s="4">
        <f>SUMIF(B$1:B$70,"TIG*",H$1:H$70)</f>
        <v>3422.1</v>
      </c>
      <c r="F44" s="2">
        <f t="shared" si="0"/>
        <v>0</v>
      </c>
      <c r="G44" s="2">
        <f t="shared" si="1"/>
        <v>670.0333333333333</v>
      </c>
      <c r="H44" s="2">
        <f t="shared" si="2"/>
        <v>670.0333333333333</v>
      </c>
    </row>
    <row r="45" spans="1:9" ht="15.6">
      <c r="A45" s="3" t="s">
        <v>32</v>
      </c>
      <c r="B45" t="s">
        <v>97</v>
      </c>
      <c r="C45">
        <v>0</v>
      </c>
      <c r="D45" s="11">
        <v>0.39071759259259259</v>
      </c>
      <c r="E45" s="4">
        <f>SUMIF(B$1:B$70,"WAS*",H$1:H$70)</f>
        <v>1467.55</v>
      </c>
      <c r="F45" s="2">
        <f t="shared" si="0"/>
        <v>0</v>
      </c>
      <c r="G45" s="2">
        <f t="shared" si="1"/>
        <v>562.63333333333333</v>
      </c>
      <c r="H45" s="2">
        <f t="shared" si="2"/>
        <v>562.63333333333333</v>
      </c>
    </row>
    <row r="46" spans="1:9" ht="15.6">
      <c r="A46" s="3"/>
      <c r="B46" t="s">
        <v>98</v>
      </c>
      <c r="C46">
        <v>0</v>
      </c>
      <c r="D46" s="11">
        <v>0.3591435185185185</v>
      </c>
      <c r="E46" s="4"/>
      <c r="F46" s="2">
        <f t="shared" si="0"/>
        <v>0</v>
      </c>
      <c r="G46" s="2">
        <f t="shared" si="1"/>
        <v>517.16666666666663</v>
      </c>
      <c r="H46" s="2">
        <f t="shared" si="2"/>
        <v>517.16666666666663</v>
      </c>
    </row>
    <row r="47" spans="1:9" ht="15.6">
      <c r="A47" s="3"/>
      <c r="B47" t="s">
        <v>99</v>
      </c>
      <c r="C47">
        <v>0</v>
      </c>
      <c r="D47" s="12">
        <v>0.22820601851851852</v>
      </c>
      <c r="E47" s="4"/>
      <c r="F47" s="2">
        <f t="shared" si="0"/>
        <v>0</v>
      </c>
      <c r="G47" s="2">
        <f t="shared" si="1"/>
        <v>328.61666666666667</v>
      </c>
      <c r="H47" s="2">
        <f t="shared" si="2"/>
        <v>328.61666666666667</v>
      </c>
    </row>
    <row r="48" spans="1:9" ht="15.6">
      <c r="A48" s="3"/>
      <c r="B48" t="s">
        <v>100</v>
      </c>
      <c r="C48">
        <v>0</v>
      </c>
      <c r="D48" s="11">
        <v>0.38741898148148146</v>
      </c>
      <c r="E48" s="4"/>
      <c r="F48" s="2">
        <f t="shared" si="0"/>
        <v>0</v>
      </c>
      <c r="G48" s="2">
        <f t="shared" si="1"/>
        <v>557.88333333333333</v>
      </c>
      <c r="H48" s="2">
        <f t="shared" si="2"/>
        <v>557.88333333333333</v>
      </c>
    </row>
    <row r="49" spans="1:8" ht="15.6">
      <c r="A49" s="3" t="s">
        <v>47</v>
      </c>
      <c r="B49" t="s">
        <v>101</v>
      </c>
      <c r="C49">
        <v>0</v>
      </c>
      <c r="D49" s="11">
        <v>0.18060185185185185</v>
      </c>
      <c r="E49" s="4">
        <f>SUMIF(B$1:B$70,"WAU*",H$1:H$70)</f>
        <v>23967.583333333336</v>
      </c>
      <c r="F49" s="2">
        <f t="shared" si="0"/>
        <v>0</v>
      </c>
      <c r="G49" s="2">
        <f t="shared" si="1"/>
        <v>260.06666666666666</v>
      </c>
      <c r="H49" s="2">
        <f t="shared" si="2"/>
        <v>260.06666666666666</v>
      </c>
    </row>
    <row r="50" spans="1:8" ht="15.6">
      <c r="A50" s="3" t="s">
        <v>48</v>
      </c>
      <c r="B50" t="s">
        <v>102</v>
      </c>
      <c r="C50">
        <v>0</v>
      </c>
      <c r="D50" s="11">
        <v>0.13498842592592594</v>
      </c>
      <c r="E50" s="4">
        <f>SUMIF(B$1:B$70,"WEY*",H$1:H$70)</f>
        <v>2252.1833333333334</v>
      </c>
      <c r="F50" s="2">
        <f t="shared" si="0"/>
        <v>0</v>
      </c>
      <c r="G50" s="2">
        <f t="shared" si="1"/>
        <v>194.38333333333335</v>
      </c>
      <c r="H50" s="2">
        <f t="shared" si="2"/>
        <v>194.38333333333335</v>
      </c>
    </row>
    <row r="51" spans="1:8" ht="15.6">
      <c r="A51" s="3" t="s">
        <v>44</v>
      </c>
      <c r="B51" t="s">
        <v>103</v>
      </c>
      <c r="C51">
        <v>0</v>
      </c>
      <c r="D51" s="12">
        <v>7.739583333333333E-2</v>
      </c>
      <c r="E51" s="4">
        <f>SUMIF(B$1:B$70,"WIT*",H$1:H$70)</f>
        <v>730.76666666666665</v>
      </c>
      <c r="F51" s="2">
        <f t="shared" si="0"/>
        <v>0</v>
      </c>
      <c r="G51" s="2">
        <f t="shared" si="1"/>
        <v>111.44999999999999</v>
      </c>
      <c r="H51" s="2">
        <f t="shared" si="2"/>
        <v>111.44999999999999</v>
      </c>
    </row>
    <row r="52" spans="1:8" ht="15.6">
      <c r="A52" t="s">
        <v>8</v>
      </c>
      <c r="B52" t="s">
        <v>104</v>
      </c>
      <c r="C52">
        <v>0</v>
      </c>
      <c r="D52" s="12">
        <v>7.8773148148148148E-2</v>
      </c>
      <c r="E52" s="4">
        <f>SUMIF(B$1:B$70,"EGG*",H$1:H$70)</f>
        <v>2812.5166666666664</v>
      </c>
      <c r="F52" s="2">
        <f t="shared" si="0"/>
        <v>0</v>
      </c>
      <c r="G52" s="2">
        <f t="shared" si="1"/>
        <v>113.43333333333334</v>
      </c>
      <c r="H52" s="2">
        <f t="shared" si="2"/>
        <v>113.43333333333334</v>
      </c>
    </row>
    <row r="53" spans="1:8" ht="15.6">
      <c r="A53" s="3" t="s">
        <v>11</v>
      </c>
      <c r="B53" t="s">
        <v>105</v>
      </c>
      <c r="C53">
        <v>0</v>
      </c>
      <c r="D53" s="12">
        <v>1.9143518518518518E-2</v>
      </c>
      <c r="E53" s="4">
        <f>SUMIF(B$1:B$70,"FOR*",H$1:H$70)</f>
        <v>665.7</v>
      </c>
      <c r="F53" s="2">
        <f t="shared" si="0"/>
        <v>0</v>
      </c>
      <c r="G53" s="2">
        <f t="shared" si="1"/>
        <v>27.566666666666666</v>
      </c>
      <c r="H53" s="2">
        <f t="shared" si="2"/>
        <v>27.566666666666666</v>
      </c>
    </row>
    <row r="54" spans="1:8" ht="15.6">
      <c r="A54" s="3" t="s">
        <v>14</v>
      </c>
      <c r="B54" t="s">
        <v>106</v>
      </c>
      <c r="C54">
        <v>0</v>
      </c>
      <c r="D54" s="12">
        <v>1.7928240740740741E-2</v>
      </c>
      <c r="E54" s="4">
        <f>SUMIF(B$1:B$70,"WSH*",H$1:H$70)</f>
        <v>517.16666666666663</v>
      </c>
      <c r="F54" s="2">
        <f t="shared" si="0"/>
        <v>0</v>
      </c>
      <c r="G54" s="2">
        <f t="shared" si="1"/>
        <v>25.816666666666666</v>
      </c>
      <c r="H54" s="2">
        <f t="shared" si="2"/>
        <v>25.816666666666666</v>
      </c>
    </row>
    <row r="55" spans="1:8" ht="15.6">
      <c r="A55" s="3" t="s">
        <v>9</v>
      </c>
      <c r="B55" t="s">
        <v>107</v>
      </c>
      <c r="C55">
        <v>0</v>
      </c>
      <c r="D55" s="12">
        <v>5.8796296296296296E-3</v>
      </c>
      <c r="E55" s="4">
        <f>SUMIF(B$1:B$70,"EPH*",H$1:H$70)</f>
        <v>260.06666666666666</v>
      </c>
      <c r="F55" s="2">
        <f t="shared" si="0"/>
        <v>0</v>
      </c>
      <c r="G55" s="2">
        <f t="shared" si="1"/>
        <v>8.4666666666666668</v>
      </c>
      <c r="H55" s="2">
        <f t="shared" si="2"/>
        <v>8.4666666666666668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2023-02-01T15:39:34Z</cp:lastPrinted>
  <dcterms:created xsi:type="dcterms:W3CDTF">1996-12-17T01:32:42Z</dcterms:created>
  <dcterms:modified xsi:type="dcterms:W3CDTF">2023-02-01T15:39:50Z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